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H\Desktop\"/>
    </mc:Choice>
  </mc:AlternateContent>
  <xr:revisionPtr revIDLastSave="0" documentId="13_ncr:1_{4D182C81-4540-4C6B-8CD7-1361A487BC16}" xr6:coauthVersionLast="43" xr6:coauthVersionMax="43" xr10:uidLastSave="{00000000-0000-0000-0000-000000000000}"/>
  <bookViews>
    <workbookView xWindow="-120" yWindow="-120" windowWidth="20730" windowHeight="11310" xr2:uid="{34DBAD1D-3619-4F5E-ABFD-1F19BBB75A97}"/>
  </bookViews>
  <sheets>
    <sheet name="hotrunner too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3" i="1" l="1"/>
  <c r="C26" i="1"/>
  <c r="D34" i="1" l="1"/>
  <c r="I18" i="1"/>
  <c r="I8" i="1"/>
  <c r="K24" i="1" s="1"/>
  <c r="L11" i="1" l="1"/>
  <c r="L12" i="1" s="1"/>
  <c r="C27" i="1" s="1"/>
  <c r="K11" i="1"/>
  <c r="I15" i="1"/>
  <c r="L5" i="1" l="1"/>
  <c r="L24" i="1" l="1"/>
  <c r="M24" i="1" l="1"/>
  <c r="K5" i="1"/>
  <c r="E30" i="1" l="1"/>
  <c r="L4" i="1" l="1"/>
  <c r="K4" i="1"/>
  <c r="L27" i="1"/>
  <c r="K27" i="1"/>
  <c r="K6" i="1" l="1"/>
  <c r="K7" i="1" s="1"/>
  <c r="M5" i="1"/>
  <c r="K12" i="1"/>
  <c r="K20" i="1" l="1"/>
  <c r="K29" i="1" s="1"/>
  <c r="K13" i="1"/>
  <c r="K8" i="1"/>
  <c r="K28" i="1" s="1"/>
  <c r="I16" i="1"/>
  <c r="L6" i="1" s="1"/>
  <c r="L7" i="1" s="1"/>
  <c r="M6" i="1" l="1"/>
  <c r="K14" i="1"/>
  <c r="K21" i="1" s="1"/>
  <c r="M11" i="1"/>
  <c r="K25" i="1" l="1"/>
  <c r="K30" i="1" s="1"/>
  <c r="K31" i="1" s="1"/>
  <c r="L8" i="1"/>
  <c r="M7" i="1"/>
  <c r="D36" i="1" s="1"/>
  <c r="K15" i="1"/>
  <c r="L20" i="1"/>
  <c r="M20" i="1" s="1"/>
  <c r="K18" i="1"/>
  <c r="K22" i="1" l="1"/>
  <c r="K17" i="1"/>
  <c r="K16" i="1" s="1"/>
  <c r="L28" i="1"/>
  <c r="M28" i="1" s="1"/>
  <c r="E26" i="1" s="1"/>
  <c r="M8" i="1"/>
  <c r="C34" i="1" s="1"/>
  <c r="C35" i="1" s="1"/>
  <c r="L13" i="1"/>
  <c r="M13" i="1" s="1"/>
  <c r="L18" i="1"/>
  <c r="M18" i="1" s="1"/>
  <c r="M12" i="1"/>
  <c r="L14" i="1" l="1"/>
  <c r="L29" i="1"/>
  <c r="M14" i="1" l="1"/>
  <c r="L15" i="1"/>
  <c r="M15" i="1" s="1"/>
  <c r="C28" i="1"/>
  <c r="L21" i="1"/>
  <c r="L25" i="1" s="1"/>
  <c r="M29" i="1"/>
  <c r="E27" i="1" s="1"/>
  <c r="L22" i="1" l="1"/>
  <c r="M22" i="1" s="1"/>
  <c r="L17" i="1"/>
  <c r="M17" i="1" s="1"/>
  <c r="C29" i="1"/>
  <c r="L30" i="1"/>
  <c r="M30" i="1" s="1"/>
  <c r="E28" i="1" s="1"/>
  <c r="E29" i="1" s="1"/>
  <c r="M25" i="1"/>
  <c r="C30" i="1"/>
  <c r="M21" i="1"/>
  <c r="E31" i="1" l="1"/>
  <c r="E32" i="1" s="1"/>
  <c r="C31" i="1"/>
  <c r="L16" i="1"/>
  <c r="M16" i="1" s="1"/>
  <c r="L31" i="1"/>
  <c r="M31" i="1" s="1"/>
  <c r="L33" i="1" l="1"/>
  <c r="D37" i="1" s="1"/>
  <c r="L34" i="1" l="1"/>
  <c r="L35" i="1" s="1"/>
  <c r="C36" i="1" s="1"/>
  <c r="D35" i="1" s="1"/>
</calcChain>
</file>

<file path=xl/sharedStrings.xml><?xml version="1.0" encoding="utf-8"?>
<sst xmlns="http://schemas.openxmlformats.org/spreadsheetml/2006/main" count="83" uniqueCount="83">
  <si>
    <t>Part Details</t>
  </si>
  <si>
    <t>Part Name</t>
  </si>
  <si>
    <t>Material Name</t>
  </si>
  <si>
    <t>Cost</t>
  </si>
  <si>
    <t>PP</t>
  </si>
  <si>
    <t>Part Weight (gms)</t>
  </si>
  <si>
    <r>
      <t xml:space="preserve">* input fields are in </t>
    </r>
    <r>
      <rPr>
        <sz val="10"/>
        <rFont val="Calibri"/>
        <family val="2"/>
        <scheme val="minor"/>
      </rPr>
      <t>Yellow</t>
    </r>
  </si>
  <si>
    <t>Ratio (Part to Runner)</t>
  </si>
  <si>
    <t>Molding Details</t>
  </si>
  <si>
    <t>Mold Details</t>
  </si>
  <si>
    <t>Cold Runner - Cycle Time (secs)</t>
  </si>
  <si>
    <t>Hot Runner - Cycle Time (secs)</t>
  </si>
  <si>
    <t># of working days in a week</t>
  </si>
  <si>
    <t># of working weeks in a year</t>
  </si>
  <si>
    <t>shots/hour</t>
  </si>
  <si>
    <t>parts /hour</t>
  </si>
  <si>
    <t>parts/shift</t>
  </si>
  <si>
    <t>parts/week</t>
  </si>
  <si>
    <t>parts/year</t>
  </si>
  <si>
    <t>Cold Runner</t>
  </si>
  <si>
    <t>Hot Runner</t>
  </si>
  <si>
    <t>Days to complete order</t>
  </si>
  <si>
    <t>parts/day</t>
  </si>
  <si>
    <t>Weeks to complete order</t>
  </si>
  <si>
    <t>sidebar calculations</t>
  </si>
  <si>
    <t>hours/1000 parts</t>
  </si>
  <si>
    <t>Parts/Hour</t>
  </si>
  <si>
    <t>Parts/Day</t>
  </si>
  <si>
    <t>Parts/Week</t>
  </si>
  <si>
    <t>Days to Complete Order</t>
  </si>
  <si>
    <t>number parts needed</t>
  </si>
  <si>
    <t>Hot Runner - Scrap Rate (%)</t>
  </si>
  <si>
    <t>Cold Runner - Scrap Rate (%)</t>
  </si>
  <si>
    <t>machine cost</t>
  </si>
  <si>
    <t>Material Cost Savings ($)</t>
  </si>
  <si>
    <t>Machine Cost Savings ($)</t>
  </si>
  <si>
    <t>Labor Cost Savings($)</t>
  </si>
  <si>
    <t>Cold Runner Details</t>
  </si>
  <si>
    <t>Hot Runner Details</t>
  </si>
  <si>
    <t>Material Savings (lbs)</t>
  </si>
  <si>
    <t>Breakeven</t>
  </si>
  <si>
    <t>savings per part</t>
  </si>
  <si>
    <t>Volume needed to breakeven</t>
  </si>
  <si>
    <t>Labor hours needed</t>
  </si>
  <si>
    <t>material cost</t>
  </si>
  <si>
    <t>resin cost</t>
  </si>
  <si>
    <t>total material (lbs)</t>
  </si>
  <si>
    <t>actual volume needed with scrap</t>
  </si>
  <si>
    <t>part + runner (gms)</t>
  </si>
  <si>
    <t>total material (gms)</t>
  </si>
  <si>
    <t>parts/month</t>
  </si>
  <si>
    <t>Cost of Hotrunner</t>
  </si>
  <si>
    <t>Savings</t>
  </si>
  <si>
    <t>Weeks to Complete Order</t>
  </si>
  <si>
    <r>
      <rPr>
        <b/>
        <u/>
        <sz val="10"/>
        <color rgb="FFFF0000"/>
        <rFont val="Calibri"/>
        <family val="2"/>
        <scheme val="minor"/>
      </rPr>
      <t>Additional</t>
    </r>
    <r>
      <rPr>
        <sz val="10"/>
        <color theme="1"/>
        <rFont val="Calibri"/>
        <family val="2"/>
        <scheme val="minor"/>
      </rPr>
      <t xml:space="preserve"> Cost for Hot Runner ($)</t>
    </r>
  </si>
  <si>
    <t>BE savings</t>
  </si>
  <si>
    <t>HR Breakeven</t>
  </si>
  <si>
    <t>Diff</t>
  </si>
  <si>
    <t>Hours to complete</t>
  </si>
  <si>
    <t>Basic Shift Information</t>
  </si>
  <si>
    <t># of Shifts (per day)</t>
  </si>
  <si>
    <t xml:space="preserve">What is your 1 shift hours? </t>
  </si>
  <si>
    <t>Volume Needed or (Order Quantity)</t>
  </si>
  <si>
    <t>* grey fields are calculated</t>
  </si>
  <si>
    <t>Labor Hourly Rate ($/hour) $</t>
  </si>
  <si>
    <t>Savings from  Hot Runner</t>
  </si>
  <si>
    <t>Net Savings</t>
  </si>
  <si>
    <t>Runner Savings -  (if hot runner is used - in %)</t>
  </si>
  <si>
    <t>Container</t>
  </si>
  <si>
    <t>Material Savings (Kg)</t>
  </si>
  <si>
    <t>labor cost</t>
  </si>
  <si>
    <t>Total</t>
  </si>
  <si>
    <t>Total Variable Cost Savings</t>
  </si>
  <si>
    <t>Material Cost ($/lb)</t>
  </si>
  <si>
    <t>Machine Hourly Rate ($/hour)</t>
  </si>
  <si>
    <t>RESULTS FOR HOTRUNNERS</t>
  </si>
  <si>
    <t xml:space="preserve">Hotrunner Savings </t>
  </si>
  <si>
    <t>Total labor per day</t>
  </si>
  <si>
    <t>Hotrunner Cycle Calculations</t>
  </si>
  <si>
    <t># of Cavities (or impressions)</t>
  </si>
  <si>
    <t>Cold runner weight - (weight of runner only - in gms)</t>
  </si>
  <si>
    <r>
      <t xml:space="preserve">Labor needed for hot runner </t>
    </r>
    <r>
      <rPr>
        <b/>
        <u/>
        <sz val="10"/>
        <color theme="1"/>
        <rFont val="Calibri"/>
        <family val="2"/>
        <scheme val="minor"/>
      </rPr>
      <t>per shift</t>
    </r>
    <r>
      <rPr>
        <sz val="10"/>
        <color theme="1"/>
        <rFont val="Calibri"/>
        <family val="2"/>
        <scheme val="minor"/>
      </rPr>
      <t xml:space="preserve"> (hours)</t>
    </r>
  </si>
  <si>
    <r>
      <t xml:space="preserve">Labor needed for cold runner </t>
    </r>
    <r>
      <rPr>
        <b/>
        <u/>
        <sz val="10"/>
        <color theme="1"/>
        <rFont val="Calibri"/>
        <family val="2"/>
        <scheme val="minor"/>
      </rPr>
      <t xml:space="preserve">per shift </t>
    </r>
    <r>
      <rPr>
        <sz val="10"/>
        <color theme="1"/>
        <rFont val="Calibri"/>
        <family val="2"/>
        <scheme val="minor"/>
      </rPr>
      <t>(hours)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</si>
</sst>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  <numFmt numFmtId="167" formatCode="0.0"/>
    <numFmt numFmtId="168" formatCode="_(* #,##0.0_);_(* \(#,##0.0\);_(* &quot;-&quot;?_);_(@_)"/>
    <numFmt numFmtId="169" formatCode="&quot;$&quot;#,##0.0000"/>
    <numFmt numFmtId="170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2" borderId="4" xfId="0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right" vertical="center"/>
      <protection locked="0"/>
    </xf>
    <xf numFmtId="3" fontId="4" fillId="2" borderId="4" xfId="0" applyNumberFormat="1" applyFont="1" applyFill="1" applyBorder="1" applyAlignment="1" applyProtection="1">
      <alignment horizontal="right" vertical="center"/>
      <protection locked="0"/>
    </xf>
    <xf numFmtId="0" fontId="3" fillId="2" borderId="6" xfId="0" applyFont="1" applyFill="1" applyBorder="1" applyAlignment="1" applyProtection="1">
      <alignment horizontal="right" vertical="center"/>
      <protection locked="0"/>
    </xf>
    <xf numFmtId="9" fontId="3" fillId="2" borderId="4" xfId="0" applyNumberFormat="1" applyFont="1" applyFill="1" applyBorder="1" applyAlignment="1" applyProtection="1">
      <alignment horizontal="right" vertical="center"/>
      <protection locked="0"/>
    </xf>
    <xf numFmtId="164" fontId="3" fillId="2" borderId="4" xfId="0" applyNumberFormat="1" applyFont="1" applyFill="1" applyBorder="1" applyAlignment="1" applyProtection="1">
      <alignment horizontal="right" vertical="center"/>
      <protection locked="0"/>
    </xf>
    <xf numFmtId="165" fontId="3" fillId="2" borderId="6" xfId="0" applyNumberFormat="1" applyFont="1" applyFill="1" applyBorder="1" applyAlignment="1" applyProtection="1">
      <alignment horizontal="right" vertical="center"/>
      <protection locked="0"/>
    </xf>
    <xf numFmtId="0" fontId="6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6" fillId="4" borderId="0" xfId="0" applyFont="1" applyFill="1" applyBorder="1" applyProtection="1">
      <protection hidden="1"/>
    </xf>
    <xf numFmtId="3" fontId="6" fillId="4" borderId="0" xfId="0" applyNumberFormat="1" applyFont="1" applyFill="1" applyProtection="1">
      <protection hidden="1"/>
    </xf>
    <xf numFmtId="166" fontId="6" fillId="4" borderId="0" xfId="0" applyNumberFormat="1" applyFont="1" applyFill="1" applyProtection="1">
      <protection hidden="1"/>
    </xf>
    <xf numFmtId="0" fontId="0" fillId="4" borderId="0" xfId="0" applyFill="1" applyBorder="1" applyAlignment="1" applyProtection="1">
      <protection hidden="1"/>
    </xf>
    <xf numFmtId="43" fontId="6" fillId="4" borderId="0" xfId="0" applyNumberFormat="1" applyFont="1" applyFill="1" applyProtection="1">
      <protection hidden="1"/>
    </xf>
    <xf numFmtId="0" fontId="7" fillId="4" borderId="0" xfId="0" applyFont="1" applyFill="1" applyBorder="1" applyAlignment="1" applyProtection="1">
      <alignment horizontal="center"/>
      <protection hidden="1"/>
    </xf>
    <xf numFmtId="0" fontId="9" fillId="4" borderId="3" xfId="0" applyFont="1" applyFill="1" applyBorder="1" applyProtection="1"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Protection="1">
      <protection hidden="1"/>
    </xf>
    <xf numFmtId="0" fontId="10" fillId="4" borderId="0" xfId="0" applyFont="1" applyFill="1" applyBorder="1" applyProtection="1">
      <protection hidden="1"/>
    </xf>
    <xf numFmtId="0" fontId="3" fillId="4" borderId="14" xfId="0" applyFont="1" applyFill="1" applyBorder="1" applyProtection="1">
      <protection hidden="1"/>
    </xf>
    <xf numFmtId="0" fontId="9" fillId="4" borderId="14" xfId="0" applyFont="1" applyFill="1" applyBorder="1" applyProtection="1">
      <protection hidden="1"/>
    </xf>
    <xf numFmtId="0" fontId="3" fillId="4" borderId="4" xfId="0" applyFont="1" applyFill="1" applyBorder="1" applyProtection="1">
      <protection hidden="1"/>
    </xf>
    <xf numFmtId="0" fontId="3" fillId="4" borderId="6" xfId="0" applyFont="1" applyFill="1" applyBorder="1" applyProtection="1">
      <protection hidden="1"/>
    </xf>
    <xf numFmtId="0" fontId="4" fillId="4" borderId="3" xfId="0" applyFont="1" applyFill="1" applyBorder="1" applyProtection="1">
      <protection hidden="1"/>
    </xf>
    <xf numFmtId="0" fontId="3" fillId="4" borderId="3" xfId="0" applyFont="1" applyFill="1" applyBorder="1" applyProtection="1">
      <protection hidden="1"/>
    </xf>
    <xf numFmtId="0" fontId="2" fillId="4" borderId="10" xfId="0" applyFont="1" applyFill="1" applyBorder="1" applyAlignment="1" applyProtection="1">
      <alignment horizontal="right"/>
      <protection hidden="1"/>
    </xf>
    <xf numFmtId="0" fontId="3" fillId="4" borderId="5" xfId="0" applyFont="1" applyFill="1" applyBorder="1" applyProtection="1">
      <protection hidden="1"/>
    </xf>
    <xf numFmtId="0" fontId="3" fillId="4" borderId="6" xfId="0" applyFont="1" applyFill="1" applyBorder="1" applyAlignment="1" applyProtection="1">
      <alignment vertical="center"/>
      <protection hidden="1"/>
    </xf>
    <xf numFmtId="0" fontId="11" fillId="4" borderId="12" xfId="0" applyFont="1" applyFill="1" applyBorder="1" applyAlignment="1" applyProtection="1">
      <alignment horizontal="right"/>
      <protection hidden="1"/>
    </xf>
    <xf numFmtId="0" fontId="11" fillId="4" borderId="10" xfId="0" applyFont="1" applyFill="1" applyBorder="1" applyProtection="1">
      <protection hidden="1"/>
    </xf>
    <xf numFmtId="0" fontId="3" fillId="4" borderId="6" xfId="0" applyFont="1" applyFill="1" applyBorder="1" applyAlignment="1" applyProtection="1">
      <alignment horizontal="right" vertical="center"/>
      <protection hidden="1"/>
    </xf>
    <xf numFmtId="170" fontId="4" fillId="5" borderId="4" xfId="3" applyNumberFormat="1" applyFont="1" applyFill="1" applyBorder="1" applyAlignment="1" applyProtection="1">
      <alignment horizontal="right" vertical="center"/>
      <protection hidden="1"/>
    </xf>
    <xf numFmtId="166" fontId="4" fillId="5" borderId="4" xfId="0" applyNumberFormat="1" applyFont="1" applyFill="1" applyBorder="1" applyAlignment="1" applyProtection="1">
      <alignment horizontal="right" vertical="center"/>
      <protection hidden="1"/>
    </xf>
    <xf numFmtId="166" fontId="3" fillId="5" borderId="4" xfId="0" applyNumberFormat="1" applyFont="1" applyFill="1" applyBorder="1" applyAlignment="1" applyProtection="1">
      <alignment vertical="center"/>
      <protection hidden="1"/>
    </xf>
    <xf numFmtId="165" fontId="3" fillId="5" borderId="4" xfId="2" applyNumberFormat="1" applyFont="1" applyFill="1" applyBorder="1" applyAlignment="1" applyProtection="1">
      <alignment horizontal="right" vertical="center"/>
      <protection hidden="1"/>
    </xf>
    <xf numFmtId="165" fontId="2" fillId="5" borderId="11" xfId="2" applyNumberFormat="1" applyFont="1" applyFill="1" applyBorder="1" applyAlignment="1" applyProtection="1">
      <alignment horizontal="right" vertical="center"/>
      <protection hidden="1"/>
    </xf>
    <xf numFmtId="165" fontId="3" fillId="5" borderId="4" xfId="0" applyNumberFormat="1" applyFont="1" applyFill="1" applyBorder="1" applyAlignment="1" applyProtection="1">
      <alignment horizontal="right" vertical="center"/>
      <protection hidden="1"/>
    </xf>
    <xf numFmtId="165" fontId="11" fillId="5" borderId="13" xfId="0" applyNumberFormat="1" applyFont="1" applyFill="1" applyBorder="1" applyAlignment="1" applyProtection="1">
      <alignment horizontal="right" vertical="center"/>
      <protection hidden="1"/>
    </xf>
    <xf numFmtId="166" fontId="3" fillId="5" borderId="4" xfId="0" applyNumberFormat="1" applyFont="1" applyFill="1" applyBorder="1" applyAlignment="1" applyProtection="1">
      <alignment horizontal="right" vertical="center"/>
      <protection hidden="1"/>
    </xf>
    <xf numFmtId="3" fontId="11" fillId="5" borderId="11" xfId="2" applyNumberFormat="1" applyFont="1" applyFill="1" applyBorder="1" applyAlignment="1" applyProtection="1">
      <alignment horizontal="right" vertical="center"/>
      <protection hidden="1"/>
    </xf>
    <xf numFmtId="0" fontId="3" fillId="4" borderId="1" xfId="0" applyFont="1" applyFill="1" applyBorder="1" applyProtection="1">
      <protection hidden="1"/>
    </xf>
    <xf numFmtId="0" fontId="3" fillId="4" borderId="0" xfId="0" applyFont="1" applyFill="1" applyBorder="1" applyProtection="1">
      <protection hidden="1"/>
    </xf>
    <xf numFmtId="0" fontId="6" fillId="4" borderId="5" xfId="0" applyFont="1" applyFill="1" applyBorder="1" applyProtection="1">
      <protection hidden="1"/>
    </xf>
    <xf numFmtId="0" fontId="6" fillId="4" borderId="6" xfId="0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5" borderId="0" xfId="0" applyFont="1" applyFill="1" applyProtection="1">
      <protection hidden="1"/>
    </xf>
    <xf numFmtId="0" fontId="8" fillId="7" borderId="7" xfId="0" applyFont="1" applyFill="1" applyBorder="1" applyAlignment="1" applyProtection="1">
      <alignment horizontal="center"/>
      <protection hidden="1"/>
    </xf>
    <xf numFmtId="0" fontId="8" fillId="7" borderId="9" xfId="0" applyFont="1" applyFill="1" applyBorder="1" applyAlignment="1" applyProtection="1">
      <alignment horizontal="center"/>
      <protection hidden="1"/>
    </xf>
    <xf numFmtId="0" fontId="7" fillId="8" borderId="7" xfId="0" applyFont="1" applyFill="1" applyBorder="1" applyAlignment="1" applyProtection="1">
      <alignment horizontal="center"/>
      <protection hidden="1"/>
    </xf>
    <xf numFmtId="0" fontId="7" fillId="8" borderId="8" xfId="0" applyFont="1" applyFill="1" applyBorder="1" applyAlignment="1" applyProtection="1">
      <alignment horizontal="center"/>
      <protection hidden="1"/>
    </xf>
    <xf numFmtId="0" fontId="7" fillId="8" borderId="9" xfId="0" applyFont="1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/>
      <protection hidden="1"/>
    </xf>
    <xf numFmtId="0" fontId="2" fillId="3" borderId="7" xfId="0" applyFont="1" applyFill="1" applyBorder="1" applyAlignment="1" applyProtection="1">
      <alignment horizontal="center"/>
      <protection hidden="1"/>
    </xf>
    <xf numFmtId="0" fontId="3" fillId="3" borderId="9" xfId="0" applyFont="1" applyFill="1" applyBorder="1" applyAlignment="1" applyProtection="1">
      <alignment horizontal="center"/>
      <protection hidden="1"/>
    </xf>
    <xf numFmtId="0" fontId="2" fillId="3" borderId="9" xfId="0" applyFont="1" applyFill="1" applyBorder="1" applyAlignment="1" applyProtection="1">
      <alignment horizontal="center"/>
      <protection hidden="1"/>
    </xf>
    <xf numFmtId="0" fontId="2" fillId="6" borderId="8" xfId="0" applyFont="1" applyFill="1" applyBorder="1" applyAlignment="1" applyProtection="1">
      <alignment horizontal="center"/>
      <protection hidden="1"/>
    </xf>
    <xf numFmtId="0" fontId="0" fillId="6" borderId="9" xfId="0" applyFill="1" applyBorder="1" applyAlignment="1" applyProtection="1">
      <alignment horizontal="center"/>
      <protection hidden="1"/>
    </xf>
    <xf numFmtId="0" fontId="0" fillId="3" borderId="2" xfId="0" applyFill="1" applyBorder="1" applyAlignment="1" applyProtection="1">
      <alignment horizontal="center"/>
      <protection hidden="1"/>
    </xf>
    <xf numFmtId="0" fontId="2" fillId="3" borderId="5" xfId="0" applyFont="1" applyFill="1" applyBorder="1" applyAlignment="1" applyProtection="1">
      <alignment horizontal="center"/>
      <protection hidden="1"/>
    </xf>
    <xf numFmtId="0" fontId="2" fillId="3" borderId="6" xfId="0" applyFont="1" applyFill="1" applyBorder="1" applyAlignment="1" applyProtection="1">
      <alignment horizontal="center"/>
      <protection hidden="1"/>
    </xf>
    <xf numFmtId="0" fontId="2" fillId="3" borderId="8" xfId="0" applyFont="1" applyFill="1" applyBorder="1" applyAlignment="1" applyProtection="1">
      <alignment horizontal="center"/>
      <protection hidden="1"/>
    </xf>
    <xf numFmtId="0" fontId="3" fillId="3" borderId="5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center"/>
      <protection hidden="1"/>
    </xf>
    <xf numFmtId="0" fontId="14" fillId="4" borderId="0" xfId="0" applyFont="1" applyFill="1" applyProtection="1">
      <protection hidden="1"/>
    </xf>
    <xf numFmtId="0" fontId="14" fillId="4" borderId="0" xfId="0" applyFont="1" applyFill="1" applyBorder="1" applyAlignment="1" applyProtection="1">
      <alignment horizontal="left" vertical="center"/>
      <protection hidden="1"/>
    </xf>
    <xf numFmtId="166" fontId="14" fillId="4" borderId="0" xfId="1" applyNumberFormat="1" applyFont="1" applyFill="1" applyBorder="1" applyAlignment="1" applyProtection="1">
      <alignment horizontal="right"/>
      <protection hidden="1"/>
    </xf>
    <xf numFmtId="0" fontId="14" fillId="4" borderId="0" xfId="0" applyFont="1" applyFill="1" applyBorder="1" applyAlignment="1" applyProtection="1">
      <alignment horizontal="right" vertical="center"/>
      <protection hidden="1"/>
    </xf>
    <xf numFmtId="167" fontId="14" fillId="4" borderId="0" xfId="0" applyNumberFormat="1" applyFont="1" applyFill="1" applyBorder="1" applyAlignment="1" applyProtection="1">
      <alignment horizontal="right"/>
      <protection hidden="1"/>
    </xf>
    <xf numFmtId="167" fontId="14" fillId="4" borderId="0" xfId="0" applyNumberFormat="1" applyFont="1" applyFill="1" applyBorder="1" applyAlignment="1" applyProtection="1">
      <alignment horizontal="right" vertical="center"/>
      <protection hidden="1"/>
    </xf>
    <xf numFmtId="166" fontId="14" fillId="4" borderId="0" xfId="0" applyNumberFormat="1" applyFont="1" applyFill="1" applyBorder="1" applyAlignment="1" applyProtection="1">
      <alignment horizontal="right"/>
      <protection hidden="1"/>
    </xf>
    <xf numFmtId="166" fontId="14" fillId="4" borderId="0" xfId="0" applyNumberFormat="1" applyFont="1" applyFill="1" applyBorder="1" applyAlignment="1" applyProtection="1">
      <alignment horizontal="right" vertical="center"/>
      <protection hidden="1"/>
    </xf>
    <xf numFmtId="0" fontId="14" fillId="4" borderId="0" xfId="0" applyFont="1" applyFill="1" applyBorder="1" applyAlignment="1" applyProtection="1">
      <alignment horizontal="center" vertical="center"/>
      <protection hidden="1"/>
    </xf>
    <xf numFmtId="2" fontId="14" fillId="4" borderId="0" xfId="0" applyNumberFormat="1" applyFont="1" applyFill="1" applyBorder="1" applyAlignment="1" applyProtection="1">
      <alignment horizontal="center" vertical="center"/>
      <protection hidden="1"/>
    </xf>
    <xf numFmtId="0" fontId="14" fillId="4" borderId="0" xfId="0" applyFont="1" applyFill="1" applyBorder="1" applyAlignment="1" applyProtection="1">
      <alignment horizontal="right"/>
      <protection hidden="1"/>
    </xf>
    <xf numFmtId="165" fontId="14" fillId="4" borderId="0" xfId="2" applyNumberFormat="1" applyFont="1" applyFill="1" applyBorder="1" applyAlignment="1" applyProtection="1">
      <alignment horizontal="right"/>
      <protection hidden="1"/>
    </xf>
    <xf numFmtId="165" fontId="14" fillId="4" borderId="0" xfId="2" applyNumberFormat="1" applyFont="1" applyFill="1" applyBorder="1" applyAlignment="1" applyProtection="1">
      <alignment horizontal="right" vertical="center"/>
      <protection hidden="1"/>
    </xf>
    <xf numFmtId="165" fontId="14" fillId="4" borderId="0" xfId="0" applyNumberFormat="1" applyFont="1" applyFill="1" applyBorder="1" applyAlignment="1" applyProtection="1">
      <alignment horizontal="right" vertical="center"/>
      <protection hidden="1"/>
    </xf>
    <xf numFmtId="0" fontId="14" fillId="4" borderId="0" xfId="0" applyFont="1" applyFill="1" applyBorder="1" applyProtection="1">
      <protection hidden="1"/>
    </xf>
    <xf numFmtId="169" fontId="14" fillId="4" borderId="0" xfId="2" applyNumberFormat="1" applyFont="1" applyFill="1" applyBorder="1" applyAlignment="1" applyProtection="1">
      <alignment horizontal="right"/>
      <protection hidden="1"/>
    </xf>
    <xf numFmtId="0" fontId="14" fillId="4" borderId="0" xfId="0" applyFont="1" applyFill="1" applyBorder="1" applyAlignment="1" applyProtection="1">
      <alignment horizontal="center"/>
      <protection hidden="1"/>
    </xf>
    <xf numFmtId="0" fontId="15" fillId="4" borderId="0" xfId="0" applyFont="1" applyFill="1" applyBorder="1" applyAlignment="1" applyProtection="1">
      <alignment horizontal="center"/>
      <protection hidden="1"/>
    </xf>
    <xf numFmtId="0" fontId="16" fillId="4" borderId="0" xfId="0" applyFont="1" applyFill="1" applyBorder="1" applyProtection="1">
      <protection hidden="1"/>
    </xf>
    <xf numFmtId="0" fontId="13" fillId="4" borderId="0" xfId="0" applyFont="1" applyFill="1" applyBorder="1" applyProtection="1">
      <protection hidden="1"/>
    </xf>
    <xf numFmtId="0" fontId="15" fillId="4" borderId="0" xfId="0" applyFont="1" applyFill="1" applyBorder="1" applyAlignment="1" applyProtection="1">
      <alignment horizontal="center" vertical="center"/>
      <protection hidden="1"/>
    </xf>
    <xf numFmtId="168" fontId="14" fillId="4" borderId="0" xfId="0" applyNumberFormat="1" applyFont="1" applyFill="1" applyBorder="1" applyAlignment="1" applyProtection="1">
      <alignment horizontal="center"/>
      <protection hidden="1"/>
    </xf>
    <xf numFmtId="0" fontId="13" fillId="4" borderId="0" xfId="0" applyFont="1" applyFill="1" applyBorder="1" applyAlignment="1" applyProtection="1">
      <alignment horizontal="center"/>
      <protection hidden="1"/>
    </xf>
    <xf numFmtId="165" fontId="14" fillId="4" borderId="0" xfId="0" applyNumberFormat="1" applyFont="1" applyFill="1" applyBorder="1" applyAlignment="1" applyProtection="1">
      <alignment horizontal="center"/>
      <protection hidden="1"/>
    </xf>
    <xf numFmtId="0" fontId="15" fillId="4" borderId="0" xfId="0" applyFont="1" applyFill="1" applyBorder="1" applyAlignment="1" applyProtection="1">
      <alignment horizontal="center"/>
      <protection hidden="1"/>
    </xf>
    <xf numFmtId="9" fontId="14" fillId="4" borderId="0" xfId="0" applyNumberFormat="1" applyFont="1" applyFill="1" applyBorder="1" applyAlignment="1" applyProtection="1">
      <alignment horizontal="center"/>
      <protection hidden="1"/>
    </xf>
    <xf numFmtId="43" fontId="14" fillId="4" borderId="0" xfId="1" applyNumberFormat="1" applyFont="1" applyFill="1" applyBorder="1" applyAlignment="1" applyProtection="1">
      <alignment horizontal="right"/>
      <protection hidden="1"/>
    </xf>
    <xf numFmtId="43" fontId="14" fillId="4" borderId="0" xfId="0" applyNumberFormat="1" applyFont="1" applyFill="1" applyBorder="1" applyAlignment="1" applyProtection="1">
      <alignment horizontal="right" vertical="center"/>
      <protection hidden="1"/>
    </xf>
    <xf numFmtId="166" fontId="16" fillId="4" borderId="0" xfId="1" applyNumberFormat="1" applyFont="1" applyFill="1" applyBorder="1" applyProtection="1">
      <protection hidden="1"/>
    </xf>
    <xf numFmtId="166" fontId="16" fillId="4" borderId="0" xfId="0" applyNumberFormat="1" applyFont="1" applyFill="1" applyBorder="1" applyProtection="1">
      <protection hidden="1"/>
    </xf>
    <xf numFmtId="43" fontId="16" fillId="4" borderId="0" xfId="1" applyNumberFormat="1" applyFont="1" applyFill="1" applyBorder="1" applyProtection="1">
      <protection hidden="1"/>
    </xf>
    <xf numFmtId="166" fontId="13" fillId="4" borderId="0" xfId="0" applyNumberFormat="1" applyFont="1" applyFill="1" applyBorder="1" applyProtection="1">
      <protection hidden="1"/>
    </xf>
    <xf numFmtId="43" fontId="13" fillId="4" borderId="0" xfId="0" applyNumberFormat="1" applyFont="1" applyFill="1" applyBorder="1" applyProtection="1">
      <protection hidden="1"/>
    </xf>
    <xf numFmtId="0" fontId="16" fillId="4" borderId="0" xfId="0" applyNumberFormat="1" applyFont="1" applyFill="1" applyBorder="1" applyAlignment="1" applyProtection="1">
      <alignment horizontal="center"/>
      <protection hidden="1"/>
    </xf>
    <xf numFmtId="2" fontId="14" fillId="4" borderId="0" xfId="0" applyNumberFormat="1" applyFont="1" applyFill="1" applyBorder="1" applyAlignment="1" applyProtection="1">
      <alignment horizontal="right"/>
      <protection hidden="1"/>
    </xf>
    <xf numFmtId="0" fontId="16" fillId="4" borderId="0" xfId="0" applyFont="1" applyFill="1" applyBorder="1" applyAlignment="1" applyProtection="1">
      <alignment horizontal="center"/>
      <protection hidden="1"/>
    </xf>
    <xf numFmtId="164" fontId="14" fillId="4" borderId="0" xfId="0" applyNumberFormat="1" applyFont="1" applyFill="1" applyBorder="1" applyAlignment="1" applyProtection="1">
      <alignment horizontal="right"/>
      <protection hidden="1"/>
    </xf>
    <xf numFmtId="1" fontId="16" fillId="4" borderId="0" xfId="0" applyNumberFormat="1" applyFont="1" applyFill="1" applyBorder="1" applyProtection="1">
      <protection hidden="1"/>
    </xf>
    <xf numFmtId="164" fontId="16" fillId="4" borderId="0" xfId="0" applyNumberFormat="1" applyFont="1" applyFill="1" applyBorder="1" applyProtection="1">
      <protection hidden="1"/>
    </xf>
    <xf numFmtId="0" fontId="14" fillId="4" borderId="0" xfId="0" applyFont="1" applyFill="1" applyBorder="1" applyAlignment="1" applyProtection="1">
      <alignment horizontal="right" vertical="center" indent="1"/>
      <protection hidden="1"/>
    </xf>
    <xf numFmtId="165" fontId="14" fillId="4" borderId="0" xfId="0" applyNumberFormat="1" applyFont="1" applyFill="1" applyBorder="1" applyAlignment="1" applyProtection="1">
      <alignment horizontal="right"/>
      <protection hidden="1"/>
    </xf>
    <xf numFmtId="1" fontId="14" fillId="4" borderId="0" xfId="0" applyNumberFormat="1" applyFont="1" applyFill="1" applyBorder="1" applyAlignment="1" applyProtection="1">
      <alignment horizontal="right" vertical="center"/>
      <protection hidden="1"/>
    </xf>
    <xf numFmtId="3" fontId="14" fillId="4" borderId="0" xfId="0" applyNumberFormat="1" applyFont="1" applyFill="1" applyProtection="1">
      <protection hidden="1"/>
    </xf>
    <xf numFmtId="166" fontId="14" fillId="4" borderId="0" xfId="0" applyNumberFormat="1" applyFont="1" applyFill="1" applyProtection="1">
      <protection hidden="1"/>
    </xf>
    <xf numFmtId="0" fontId="13" fillId="4" borderId="0" xfId="0" applyFont="1" applyFill="1" applyBorder="1" applyAlignment="1" applyProtection="1">
      <protection hidden="1"/>
    </xf>
    <xf numFmtId="43" fontId="14" fillId="4" borderId="0" xfId="0" applyNumberFormat="1" applyFont="1" applyFill="1" applyProtection="1">
      <protection hidden="1"/>
    </xf>
    <xf numFmtId="0" fontId="17" fillId="4" borderId="0" xfId="0" applyFont="1" applyFill="1" applyBorder="1" applyAlignment="1" applyProtection="1">
      <alignment horizontal="center"/>
      <protection hidden="1"/>
    </xf>
    <xf numFmtId="165" fontId="14" fillId="4" borderId="0" xfId="0" applyNumberFormat="1" applyFont="1" applyFill="1" applyProtection="1">
      <protection hidden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C20E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7D2E9-0EFA-4A0C-8801-9FFA4FA1E899}">
  <dimension ref="B2:R75"/>
  <sheetViews>
    <sheetView tabSelected="1" zoomScaleNormal="100" workbookViewId="0">
      <selection activeCell="C18" sqref="C18"/>
    </sheetView>
  </sheetViews>
  <sheetFormatPr defaultColWidth="12.7109375" defaultRowHeight="15" x14ac:dyDescent="0.25"/>
  <cols>
    <col min="1" max="1" width="2.85546875" style="9" customWidth="1"/>
    <col min="2" max="2" width="44" style="46" customWidth="1"/>
    <col min="3" max="3" width="12.140625" style="46" customWidth="1"/>
    <col min="4" max="4" width="37.7109375" style="46" bestFit="1" customWidth="1"/>
    <col min="5" max="5" width="12.42578125" style="46" customWidth="1"/>
    <col min="6" max="6" width="14.42578125" style="8" customWidth="1"/>
    <col min="7" max="7" width="13.42578125" style="66" customWidth="1"/>
    <col min="8" max="8" width="13.28515625" style="88" customWidth="1"/>
    <col min="9" max="9" width="12.7109375" style="82" customWidth="1"/>
    <col min="10" max="10" width="27.28515625" style="80" customWidth="1"/>
    <col min="11" max="11" width="14.28515625" style="76" customWidth="1"/>
    <col min="12" max="12" width="17.5703125" style="76" customWidth="1"/>
    <col min="13" max="13" width="11" style="69" bestFit="1" customWidth="1"/>
    <col min="14" max="14" width="2.140625" style="84" customWidth="1"/>
    <col min="15" max="15" width="10.7109375" style="85" bestFit="1" customWidth="1"/>
    <col min="16" max="16" width="10.5703125" style="85" bestFit="1" customWidth="1"/>
    <col min="17" max="18" width="12.7109375" style="85"/>
    <col min="19" max="16384" width="12.7109375" style="9"/>
  </cols>
  <sheetData>
    <row r="2" spans="2:13" x14ac:dyDescent="0.25">
      <c r="B2" s="45" t="s">
        <v>6</v>
      </c>
      <c r="F2" s="11"/>
      <c r="G2" s="108"/>
      <c r="H2" s="82"/>
      <c r="J2" s="83" t="s">
        <v>24</v>
      </c>
      <c r="K2" s="83"/>
      <c r="L2" s="83"/>
    </row>
    <row r="3" spans="2:13" x14ac:dyDescent="0.25">
      <c r="B3" s="47" t="s">
        <v>63</v>
      </c>
      <c r="H3" s="82"/>
      <c r="M3" s="86" t="s">
        <v>57</v>
      </c>
    </row>
    <row r="4" spans="2:13" ht="15.75" thickBot="1" x14ac:dyDescent="0.3">
      <c r="F4" s="12"/>
      <c r="G4" s="109"/>
      <c r="H4" s="87"/>
      <c r="J4" s="67" t="s">
        <v>30</v>
      </c>
      <c r="K4" s="68">
        <f>C8</f>
        <v>2000000</v>
      </c>
      <c r="L4" s="68">
        <f>C8</f>
        <v>2000000</v>
      </c>
    </row>
    <row r="5" spans="2:13" ht="15.75" thickBot="1" x14ac:dyDescent="0.3">
      <c r="B5" s="53" t="s">
        <v>0</v>
      </c>
      <c r="C5" s="54"/>
      <c r="D5" s="63" t="s">
        <v>8</v>
      </c>
      <c r="E5" s="57"/>
      <c r="F5" s="13"/>
      <c r="G5" s="110"/>
      <c r="H5" s="82"/>
      <c r="J5" s="67" t="s">
        <v>48</v>
      </c>
      <c r="K5" s="70">
        <f>C10+C14</f>
        <v>110</v>
      </c>
      <c r="L5" s="70">
        <f>C10+I18</f>
        <v>100</v>
      </c>
      <c r="M5" s="71">
        <f>K5-L5</f>
        <v>10</v>
      </c>
    </row>
    <row r="6" spans="2:13" ht="15.75" thickBot="1" x14ac:dyDescent="0.3">
      <c r="B6" s="64"/>
      <c r="C6" s="65"/>
      <c r="D6" s="58" t="s">
        <v>59</v>
      </c>
      <c r="E6" s="59"/>
      <c r="H6" s="82"/>
      <c r="J6" s="67" t="s">
        <v>47</v>
      </c>
      <c r="K6" s="72">
        <f>ROUNDUP(K4/I15,0)</f>
        <v>2105264</v>
      </c>
      <c r="L6" s="72">
        <f>ROUNDUP(L4/I16,0)</f>
        <v>2020203</v>
      </c>
      <c r="M6" s="73">
        <f>K6-L6</f>
        <v>85061</v>
      </c>
    </row>
    <row r="7" spans="2:13" x14ac:dyDescent="0.25">
      <c r="B7" s="25" t="s">
        <v>1</v>
      </c>
      <c r="C7" s="1" t="s">
        <v>68</v>
      </c>
      <c r="D7" s="41" t="s">
        <v>61</v>
      </c>
      <c r="E7" s="2">
        <v>8</v>
      </c>
      <c r="H7" s="82"/>
      <c r="J7" s="67" t="s">
        <v>49</v>
      </c>
      <c r="K7" s="72">
        <f>(K6*C10)+(K6*(C14/C13))</f>
        <v>213157980</v>
      </c>
      <c r="L7" s="72">
        <f>(L6*C10)+(L6*(I18/C13))</f>
        <v>202020300</v>
      </c>
      <c r="M7" s="73">
        <f>K7-L7</f>
        <v>11137680</v>
      </c>
    </row>
    <row r="8" spans="2:13" x14ac:dyDescent="0.25">
      <c r="B8" s="25" t="s">
        <v>62</v>
      </c>
      <c r="C8" s="3">
        <v>2000000</v>
      </c>
      <c r="D8" s="25" t="s">
        <v>60</v>
      </c>
      <c r="E8" s="1">
        <v>3</v>
      </c>
      <c r="I8" s="74">
        <f>IF((E7*E8)&gt;24,"Error in shift hours or # of shifts", (E7*E8))</f>
        <v>24</v>
      </c>
      <c r="J8" s="67" t="s">
        <v>46</v>
      </c>
      <c r="K8" s="72">
        <f>K7*0.0022046</f>
        <v>469928.08270800003</v>
      </c>
      <c r="L8" s="72">
        <f>L7*0.0022046</f>
        <v>445373.95338000002</v>
      </c>
      <c r="M8" s="73">
        <f>K8-L8</f>
        <v>24554.12932800001</v>
      </c>
    </row>
    <row r="9" spans="2:13" x14ac:dyDescent="0.25">
      <c r="B9" s="25" t="s">
        <v>2</v>
      </c>
      <c r="C9" s="1" t="s">
        <v>4</v>
      </c>
      <c r="D9" s="25" t="s">
        <v>12</v>
      </c>
      <c r="E9" s="1">
        <v>7</v>
      </c>
      <c r="H9" s="82"/>
    </row>
    <row r="10" spans="2:13" ht="15.75" thickBot="1" x14ac:dyDescent="0.3">
      <c r="B10" s="27" t="s">
        <v>5</v>
      </c>
      <c r="C10" s="4">
        <v>100</v>
      </c>
      <c r="D10" s="27" t="s">
        <v>13</v>
      </c>
      <c r="E10" s="4">
        <v>52</v>
      </c>
      <c r="H10" s="89"/>
      <c r="I10" s="89"/>
      <c r="K10" s="90" t="s">
        <v>19</v>
      </c>
      <c r="L10" s="90" t="s">
        <v>20</v>
      </c>
      <c r="M10" s="86" t="s">
        <v>52</v>
      </c>
    </row>
    <row r="11" spans="2:13" ht="15.75" thickBot="1" x14ac:dyDescent="0.3">
      <c r="B11" s="25"/>
      <c r="C11" s="42"/>
      <c r="D11" s="42"/>
      <c r="E11" s="22"/>
      <c r="F11" s="10"/>
      <c r="G11" s="80"/>
      <c r="H11" s="89"/>
      <c r="I11" s="89"/>
      <c r="J11" s="67" t="s">
        <v>14</v>
      </c>
      <c r="K11" s="68">
        <f>ROUNDDOWN(3600/E13,0)</f>
        <v>90</v>
      </c>
      <c r="L11" s="68">
        <f>ROUNDDOWN(3600/E18,0)</f>
        <v>200</v>
      </c>
      <c r="M11" s="73">
        <f>L11-K11</f>
        <v>110</v>
      </c>
    </row>
    <row r="12" spans="2:13" ht="15.75" thickBot="1" x14ac:dyDescent="0.3">
      <c r="B12" s="53" t="s">
        <v>9</v>
      </c>
      <c r="C12" s="60"/>
      <c r="D12" s="55" t="s">
        <v>37</v>
      </c>
      <c r="E12" s="56"/>
      <c r="H12" s="82"/>
      <c r="J12" s="67" t="s">
        <v>15</v>
      </c>
      <c r="K12" s="68">
        <f>K11*C13</f>
        <v>720</v>
      </c>
      <c r="L12" s="68">
        <f>L11*C13</f>
        <v>1600</v>
      </c>
      <c r="M12" s="73">
        <f t="shared" ref="M12:M14" si="0">L12-K12</f>
        <v>880</v>
      </c>
    </row>
    <row r="13" spans="2:13" x14ac:dyDescent="0.25">
      <c r="B13" s="41" t="s">
        <v>79</v>
      </c>
      <c r="C13" s="2">
        <v>8</v>
      </c>
      <c r="D13" s="42" t="s">
        <v>10</v>
      </c>
      <c r="E13" s="1">
        <v>40</v>
      </c>
      <c r="H13" s="82"/>
      <c r="J13" s="67" t="s">
        <v>16</v>
      </c>
      <c r="K13" s="68">
        <f>K12*E7</f>
        <v>5760</v>
      </c>
      <c r="L13" s="68">
        <f>L12*E7</f>
        <v>12800</v>
      </c>
      <c r="M13" s="73">
        <f t="shared" si="0"/>
        <v>7040</v>
      </c>
    </row>
    <row r="14" spans="2:13" x14ac:dyDescent="0.25">
      <c r="B14" s="25" t="s">
        <v>80</v>
      </c>
      <c r="C14" s="1">
        <v>10</v>
      </c>
      <c r="D14" s="42" t="s">
        <v>32</v>
      </c>
      <c r="E14" s="5">
        <v>0.05</v>
      </c>
      <c r="H14" s="82"/>
      <c r="J14" s="67" t="s">
        <v>22</v>
      </c>
      <c r="K14" s="68">
        <f>K13*E8</f>
        <v>17280</v>
      </c>
      <c r="L14" s="68">
        <f>L13*E8</f>
        <v>38400</v>
      </c>
      <c r="M14" s="73">
        <f t="shared" si="0"/>
        <v>21120</v>
      </c>
    </row>
    <row r="15" spans="2:13" x14ac:dyDescent="0.25">
      <c r="B15" s="25" t="s">
        <v>67</v>
      </c>
      <c r="C15" s="5">
        <v>1</v>
      </c>
      <c r="D15" s="42" t="s">
        <v>82</v>
      </c>
      <c r="E15" s="1">
        <v>8</v>
      </c>
      <c r="H15" s="82"/>
      <c r="I15" s="91">
        <f>1-E14</f>
        <v>0.95</v>
      </c>
      <c r="J15" s="67" t="s">
        <v>17</v>
      </c>
      <c r="K15" s="68">
        <f>K14*E9</f>
        <v>120960</v>
      </c>
      <c r="L15" s="68">
        <f>L14*E9</f>
        <v>268800</v>
      </c>
      <c r="M15" s="73">
        <f>L15-K15</f>
        <v>147840</v>
      </c>
    </row>
    <row r="16" spans="2:13" ht="15.75" thickBot="1" x14ac:dyDescent="0.3">
      <c r="B16" s="27"/>
      <c r="C16" s="23"/>
      <c r="D16" s="20"/>
      <c r="E16" s="23"/>
      <c r="H16" s="91"/>
      <c r="I16" s="91">
        <f>1-E19</f>
        <v>0.99</v>
      </c>
      <c r="J16" s="67" t="s">
        <v>50</v>
      </c>
      <c r="K16" s="72">
        <f>K17/12</f>
        <v>524160</v>
      </c>
      <c r="L16" s="72">
        <f>L17/12</f>
        <v>1164800</v>
      </c>
      <c r="M16" s="73">
        <f>L16-K16</f>
        <v>640640</v>
      </c>
    </row>
    <row r="17" spans="2:16" ht="15.75" thickBot="1" x14ac:dyDescent="0.3">
      <c r="B17" s="61" t="s">
        <v>3</v>
      </c>
      <c r="C17" s="62"/>
      <c r="D17" s="55" t="s">
        <v>38</v>
      </c>
      <c r="E17" s="57"/>
      <c r="H17" s="91"/>
      <c r="J17" s="67" t="s">
        <v>18</v>
      </c>
      <c r="K17" s="68">
        <f>K15*E10</f>
        <v>6289920</v>
      </c>
      <c r="L17" s="68">
        <f>L15*E10</f>
        <v>13977600</v>
      </c>
      <c r="M17" s="73">
        <f>L17-K17</f>
        <v>7687680</v>
      </c>
    </row>
    <row r="18" spans="2:16" x14ac:dyDescent="0.25">
      <c r="B18" s="25" t="s">
        <v>73</v>
      </c>
      <c r="C18" s="6">
        <v>1</v>
      </c>
      <c r="D18" s="25" t="s">
        <v>11</v>
      </c>
      <c r="E18" s="1">
        <v>18</v>
      </c>
      <c r="H18" s="82"/>
      <c r="I18" s="75">
        <f>C14-(C15*C14)</f>
        <v>0</v>
      </c>
      <c r="J18" s="67" t="s">
        <v>25</v>
      </c>
      <c r="K18" s="92">
        <f>1000/K12</f>
        <v>1.3888888888888888</v>
      </c>
      <c r="L18" s="92">
        <f>1000/L12</f>
        <v>0.625</v>
      </c>
      <c r="M18" s="93">
        <f>ABS(L18-K18)</f>
        <v>0.76388888888888884</v>
      </c>
    </row>
    <row r="19" spans="2:16" x14ac:dyDescent="0.25">
      <c r="B19" s="25" t="s">
        <v>74</v>
      </c>
      <c r="C19" s="6">
        <v>40</v>
      </c>
      <c r="D19" s="25" t="s">
        <v>31</v>
      </c>
      <c r="E19" s="5">
        <v>0.01</v>
      </c>
      <c r="H19" s="82"/>
      <c r="J19" s="67"/>
      <c r="O19" s="94"/>
    </row>
    <row r="20" spans="2:16" x14ac:dyDescent="0.25">
      <c r="B20" s="25" t="s">
        <v>64</v>
      </c>
      <c r="C20" s="6">
        <v>15</v>
      </c>
      <c r="D20" s="25" t="s">
        <v>81</v>
      </c>
      <c r="E20" s="1">
        <v>2</v>
      </c>
      <c r="H20" s="82"/>
      <c r="J20" s="67" t="s">
        <v>58</v>
      </c>
      <c r="K20" s="72">
        <f>ROUND(K6/K12,0)</f>
        <v>2924</v>
      </c>
      <c r="L20" s="72">
        <f>ROUND(L6/L12,0)</f>
        <v>1263</v>
      </c>
      <c r="M20" s="73">
        <f>K20-L20</f>
        <v>1661</v>
      </c>
      <c r="N20" s="95"/>
      <c r="O20" s="95"/>
    </row>
    <row r="21" spans="2:16" ht="15.75" thickBot="1" x14ac:dyDescent="0.3">
      <c r="B21" s="27" t="s">
        <v>54</v>
      </c>
      <c r="C21" s="7">
        <v>75000</v>
      </c>
      <c r="D21" s="43"/>
      <c r="E21" s="44"/>
      <c r="H21" s="82"/>
      <c r="J21" s="67" t="s">
        <v>21</v>
      </c>
      <c r="K21" s="68">
        <f>ROUND(K6/K14,0)</f>
        <v>122</v>
      </c>
      <c r="L21" s="68">
        <f>ROUND(L6/L14,0)</f>
        <v>53</v>
      </c>
      <c r="M21" s="73">
        <f t="shared" ref="M21:M22" si="1">K21-L21</f>
        <v>69</v>
      </c>
      <c r="N21" s="96"/>
      <c r="O21" s="96"/>
      <c r="P21" s="97"/>
    </row>
    <row r="22" spans="2:16" x14ac:dyDescent="0.25">
      <c r="B22" s="25"/>
      <c r="C22" s="42"/>
      <c r="D22" s="42"/>
      <c r="E22" s="22"/>
      <c r="F22" s="14"/>
      <c r="G22" s="111"/>
      <c r="H22" s="82"/>
      <c r="J22" s="67" t="s">
        <v>23</v>
      </c>
      <c r="K22" s="68">
        <f>ROUND(K6/K15,0)</f>
        <v>17</v>
      </c>
      <c r="L22" s="68">
        <f>ROUND(L6/L15,0)</f>
        <v>8</v>
      </c>
      <c r="M22" s="73">
        <f t="shared" si="1"/>
        <v>9</v>
      </c>
      <c r="N22" s="94"/>
      <c r="P22" s="98"/>
    </row>
    <row r="23" spans="2:16" ht="15.75" thickBot="1" x14ac:dyDescent="0.3">
      <c r="B23" s="25"/>
      <c r="C23" s="42"/>
      <c r="D23" s="42"/>
      <c r="E23" s="22"/>
      <c r="H23" s="82"/>
      <c r="J23" s="67"/>
      <c r="N23" s="95"/>
      <c r="O23" s="95"/>
      <c r="P23" s="99"/>
    </row>
    <row r="24" spans="2:16" ht="19.5" thickBot="1" x14ac:dyDescent="0.35">
      <c r="B24" s="50" t="s">
        <v>75</v>
      </c>
      <c r="C24" s="51"/>
      <c r="D24" s="51"/>
      <c r="E24" s="52"/>
      <c r="F24" s="15"/>
      <c r="G24" s="112"/>
      <c r="H24" s="82"/>
      <c r="J24" s="67" t="s">
        <v>77</v>
      </c>
      <c r="K24" s="100">
        <f>IF(I8&lt;=24,E15*E8,"Error")</f>
        <v>24</v>
      </c>
      <c r="L24" s="100">
        <f>E20*E8</f>
        <v>6</v>
      </c>
      <c r="M24" s="73">
        <f>K24-L24</f>
        <v>18</v>
      </c>
      <c r="O24" s="84"/>
      <c r="P24" s="99"/>
    </row>
    <row r="25" spans="2:16" ht="16.5" thickBot="1" x14ac:dyDescent="0.3">
      <c r="B25" s="48" t="s">
        <v>78</v>
      </c>
      <c r="C25" s="49"/>
      <c r="D25" s="48" t="s">
        <v>76</v>
      </c>
      <c r="E25" s="49"/>
      <c r="H25" s="82"/>
      <c r="J25" s="67" t="s">
        <v>43</v>
      </c>
      <c r="K25" s="72">
        <f>K24*K21</f>
        <v>2928</v>
      </c>
      <c r="L25" s="72">
        <f>L24*L21</f>
        <v>318</v>
      </c>
      <c r="M25" s="73">
        <f>K25-L25</f>
        <v>2610</v>
      </c>
      <c r="N25" s="101"/>
      <c r="O25" s="97"/>
    </row>
    <row r="26" spans="2:16" x14ac:dyDescent="0.25">
      <c r="B26" s="24" t="s">
        <v>7</v>
      </c>
      <c r="C26" s="32">
        <f>C14/SUM(C10*C13)</f>
        <v>1.2500000000000001E-2</v>
      </c>
      <c r="D26" s="25" t="s">
        <v>34</v>
      </c>
      <c r="E26" s="35">
        <f>IF(M28&gt;0, M28,"Error in input")</f>
        <v>24554.12932800001</v>
      </c>
      <c r="H26" s="82"/>
      <c r="J26" s="67"/>
    </row>
    <row r="27" spans="2:16" x14ac:dyDescent="0.25">
      <c r="B27" s="24" t="s">
        <v>26</v>
      </c>
      <c r="C27" s="33">
        <f>L12</f>
        <v>1600</v>
      </c>
      <c r="D27" s="25" t="s">
        <v>35</v>
      </c>
      <c r="E27" s="35">
        <f>M29</f>
        <v>66440</v>
      </c>
      <c r="H27" s="82"/>
      <c r="J27" s="67" t="s">
        <v>45</v>
      </c>
      <c r="K27" s="102">
        <f>C18</f>
        <v>1</v>
      </c>
      <c r="L27" s="102">
        <f>C18</f>
        <v>1</v>
      </c>
      <c r="N27" s="95"/>
    </row>
    <row r="28" spans="2:16" ht="15.75" customHeight="1" x14ac:dyDescent="0.25">
      <c r="B28" s="24" t="s">
        <v>27</v>
      </c>
      <c r="C28" s="33">
        <f>L14</f>
        <v>38400</v>
      </c>
      <c r="D28" s="25" t="s">
        <v>36</v>
      </c>
      <c r="E28" s="35">
        <f>M30</f>
        <v>39150</v>
      </c>
      <c r="H28" s="82"/>
      <c r="J28" s="67" t="s">
        <v>44</v>
      </c>
      <c r="K28" s="77">
        <f>(K8)*K27</f>
        <v>469928.08270800003</v>
      </c>
      <c r="L28" s="77">
        <f>L27*L8</f>
        <v>445373.95338000002</v>
      </c>
      <c r="M28" s="78">
        <f>K28-L28</f>
        <v>24554.12932800001</v>
      </c>
    </row>
    <row r="29" spans="2:16" ht="18" customHeight="1" thickBot="1" x14ac:dyDescent="0.3">
      <c r="B29" s="24" t="s">
        <v>28</v>
      </c>
      <c r="C29" s="33">
        <f>L15</f>
        <v>268800</v>
      </c>
      <c r="D29" s="26" t="s">
        <v>72</v>
      </c>
      <c r="E29" s="36">
        <f>SUM(E26:E28)</f>
        <v>130144.12932800001</v>
      </c>
      <c r="H29" s="82"/>
      <c r="J29" s="67" t="s">
        <v>33</v>
      </c>
      <c r="K29" s="77">
        <f>C19*K20</f>
        <v>116960</v>
      </c>
      <c r="L29" s="77">
        <f>C19*L20</f>
        <v>50520</v>
      </c>
      <c r="M29" s="79">
        <f>K29-L29</f>
        <v>66440</v>
      </c>
      <c r="N29" s="103"/>
      <c r="O29" s="104"/>
      <c r="P29" s="104"/>
    </row>
    <row r="30" spans="2:16" ht="15.75" thickTop="1" x14ac:dyDescent="0.25">
      <c r="B30" s="24" t="s">
        <v>29</v>
      </c>
      <c r="C30" s="33">
        <f>L21</f>
        <v>53</v>
      </c>
      <c r="D30" s="25" t="s">
        <v>51</v>
      </c>
      <c r="E30" s="37">
        <f>C21</f>
        <v>75000</v>
      </c>
      <c r="H30" s="82"/>
      <c r="J30" s="67" t="s">
        <v>70</v>
      </c>
      <c r="K30" s="77">
        <f>K25*C20</f>
        <v>43920</v>
      </c>
      <c r="L30" s="77">
        <f>L25*C20</f>
        <v>4770</v>
      </c>
      <c r="M30" s="79">
        <f>K30-L30</f>
        <v>39150</v>
      </c>
    </row>
    <row r="31" spans="2:16" x14ac:dyDescent="0.25">
      <c r="B31" s="24" t="s">
        <v>53</v>
      </c>
      <c r="C31" s="34">
        <f>L22</f>
        <v>8</v>
      </c>
      <c r="D31" s="25" t="s">
        <v>65</v>
      </c>
      <c r="E31" s="37">
        <f>E29</f>
        <v>130144.12932800001</v>
      </c>
      <c r="H31" s="82"/>
      <c r="J31" s="105" t="s">
        <v>71</v>
      </c>
      <c r="K31" s="106">
        <f>SUM(K28:K30)</f>
        <v>630808.08270799997</v>
      </c>
      <c r="L31" s="106">
        <f>SUM(L28:L30)</f>
        <v>500663.95338000002</v>
      </c>
      <c r="M31" s="79">
        <f>K31-L31</f>
        <v>130144.12932799995</v>
      </c>
    </row>
    <row r="32" spans="2:16" ht="15.75" thickBot="1" x14ac:dyDescent="0.3">
      <c r="B32" s="27"/>
      <c r="C32" s="28"/>
      <c r="D32" s="29" t="s">
        <v>66</v>
      </c>
      <c r="E32" s="38">
        <f>E31-E30</f>
        <v>55144.12932800001</v>
      </c>
      <c r="H32" s="82"/>
      <c r="M32" s="107"/>
    </row>
    <row r="33" spans="2:12" ht="16.5" thickBot="1" x14ac:dyDescent="0.3">
      <c r="B33" s="48" t="s">
        <v>40</v>
      </c>
      <c r="C33" s="49"/>
      <c r="D33" s="16" t="str">
        <f>IF(E18&gt;E13,"Error in Hot Runner Cycle Time"," ")</f>
        <v xml:space="preserve"> </v>
      </c>
      <c r="E33" s="22"/>
      <c r="H33" s="82"/>
      <c r="K33" s="76" t="s">
        <v>55</v>
      </c>
      <c r="L33" s="106">
        <f>ROUNDUP(M31-C21,0)</f>
        <v>55145</v>
      </c>
    </row>
    <row r="34" spans="2:12" ht="15.75" x14ac:dyDescent="0.25">
      <c r="B34" s="24" t="s">
        <v>39</v>
      </c>
      <c r="C34" s="39">
        <f>M8</f>
        <v>24554.12932800001</v>
      </c>
      <c r="D34" s="17" t="str">
        <f>IF(E7*E8&gt;24, "Error in Shift Hours Input", " ")</f>
        <v xml:space="preserve"> </v>
      </c>
      <c r="E34" s="22"/>
      <c r="G34" s="113"/>
      <c r="H34" s="82"/>
      <c r="K34" s="76" t="s">
        <v>41</v>
      </c>
      <c r="L34" s="81">
        <f>L33/K6</f>
        <v>2.6193864522454192E-2</v>
      </c>
    </row>
    <row r="35" spans="2:12" ht="15.75" x14ac:dyDescent="0.25">
      <c r="B35" s="25" t="s">
        <v>69</v>
      </c>
      <c r="C35" s="39">
        <f>ROUNDUP(C34/0.4535924,0)</f>
        <v>54133</v>
      </c>
      <c r="D35" s="18" t="str">
        <f>IF(C36&lt;0,"Error in input value", " ")</f>
        <v xml:space="preserve"> </v>
      </c>
      <c r="E35" s="22"/>
      <c r="H35" s="82"/>
      <c r="K35" s="76" t="s">
        <v>56</v>
      </c>
      <c r="L35" s="72">
        <f>C21/L34</f>
        <v>2863265.935261583</v>
      </c>
    </row>
    <row r="36" spans="2:12" ht="16.5" thickBot="1" x14ac:dyDescent="0.3">
      <c r="B36" s="30" t="s">
        <v>42</v>
      </c>
      <c r="C36" s="40">
        <f>IF(E29&lt;=0,"Answer Can't be Computed",L35)</f>
        <v>2863265.935261583</v>
      </c>
      <c r="D36" s="19" t="str">
        <f>IF(M7&lt;=0,"No Savings"," ")</f>
        <v xml:space="preserve"> </v>
      </c>
      <c r="E36" s="22"/>
      <c r="H36" s="82"/>
    </row>
    <row r="37" spans="2:12" ht="17.25" thickTop="1" thickBot="1" x14ac:dyDescent="0.3">
      <c r="B37" s="27"/>
      <c r="C37" s="31"/>
      <c r="D37" s="21" t="str">
        <f>IF(L33&lt;0,"Volume is not enough, increase and try again", " ")</f>
        <v xml:space="preserve"> </v>
      </c>
      <c r="E37" s="23"/>
      <c r="H37" s="82"/>
    </row>
    <row r="38" spans="2:12" x14ac:dyDescent="0.25">
      <c r="H38" s="82"/>
    </row>
    <row r="39" spans="2:12" x14ac:dyDescent="0.25">
      <c r="H39" s="82"/>
    </row>
    <row r="40" spans="2:12" x14ac:dyDescent="0.25">
      <c r="H40" s="82"/>
    </row>
    <row r="41" spans="2:12" x14ac:dyDescent="0.25">
      <c r="H41" s="82"/>
    </row>
    <row r="42" spans="2:12" x14ac:dyDescent="0.25">
      <c r="H42" s="82"/>
    </row>
    <row r="43" spans="2:12" x14ac:dyDescent="0.25">
      <c r="H43" s="82"/>
    </row>
    <row r="44" spans="2:12" x14ac:dyDescent="0.25">
      <c r="H44" s="82"/>
    </row>
    <row r="45" spans="2:12" x14ac:dyDescent="0.25">
      <c r="H45" s="82"/>
    </row>
    <row r="46" spans="2:12" x14ac:dyDescent="0.25">
      <c r="H46" s="82"/>
    </row>
    <row r="47" spans="2:12" x14ac:dyDescent="0.25">
      <c r="H47" s="82"/>
    </row>
    <row r="48" spans="2:12" x14ac:dyDescent="0.25">
      <c r="H48" s="82"/>
    </row>
    <row r="49" spans="8:8" x14ac:dyDescent="0.25">
      <c r="H49" s="82"/>
    </row>
    <row r="50" spans="8:8" x14ac:dyDescent="0.25">
      <c r="H50" s="82"/>
    </row>
    <row r="51" spans="8:8" x14ac:dyDescent="0.25">
      <c r="H51" s="82"/>
    </row>
    <row r="52" spans="8:8" x14ac:dyDescent="0.25">
      <c r="H52" s="82"/>
    </row>
    <row r="53" spans="8:8" x14ac:dyDescent="0.25">
      <c r="H53" s="82"/>
    </row>
    <row r="54" spans="8:8" x14ac:dyDescent="0.25">
      <c r="H54" s="82"/>
    </row>
    <row r="55" spans="8:8" x14ac:dyDescent="0.25">
      <c r="H55" s="82"/>
    </row>
    <row r="56" spans="8:8" x14ac:dyDescent="0.25">
      <c r="H56" s="82"/>
    </row>
    <row r="57" spans="8:8" x14ac:dyDescent="0.25">
      <c r="H57" s="82"/>
    </row>
    <row r="58" spans="8:8" x14ac:dyDescent="0.25">
      <c r="H58" s="82"/>
    </row>
    <row r="59" spans="8:8" x14ac:dyDescent="0.25">
      <c r="H59" s="82"/>
    </row>
    <row r="60" spans="8:8" x14ac:dyDescent="0.25">
      <c r="H60" s="82"/>
    </row>
    <row r="61" spans="8:8" x14ac:dyDescent="0.25">
      <c r="H61" s="82"/>
    </row>
    <row r="62" spans="8:8" x14ac:dyDescent="0.25">
      <c r="H62" s="82"/>
    </row>
    <row r="63" spans="8:8" x14ac:dyDescent="0.25">
      <c r="H63" s="82"/>
    </row>
    <row r="64" spans="8:8" x14ac:dyDescent="0.25">
      <c r="H64" s="82"/>
    </row>
    <row r="65" spans="8:8" x14ac:dyDescent="0.25">
      <c r="H65" s="82"/>
    </row>
    <row r="66" spans="8:8" x14ac:dyDescent="0.25">
      <c r="H66" s="82"/>
    </row>
    <row r="67" spans="8:8" x14ac:dyDescent="0.25">
      <c r="H67" s="82"/>
    </row>
    <row r="68" spans="8:8" x14ac:dyDescent="0.25">
      <c r="H68" s="82"/>
    </row>
    <row r="69" spans="8:8" x14ac:dyDescent="0.25">
      <c r="H69" s="82"/>
    </row>
    <row r="70" spans="8:8" x14ac:dyDescent="0.25">
      <c r="H70" s="82"/>
    </row>
    <row r="71" spans="8:8" x14ac:dyDescent="0.25">
      <c r="H71" s="82"/>
    </row>
    <row r="72" spans="8:8" x14ac:dyDescent="0.25">
      <c r="H72" s="82"/>
    </row>
    <row r="73" spans="8:8" x14ac:dyDescent="0.25">
      <c r="H73" s="82"/>
    </row>
    <row r="74" spans="8:8" x14ac:dyDescent="0.25">
      <c r="H74" s="82"/>
    </row>
    <row r="75" spans="8:8" x14ac:dyDescent="0.25">
      <c r="H75" s="82"/>
    </row>
  </sheetData>
  <sheetProtection algorithmName="SHA-512" hashValue="e5fN+MZFu/6bmRwKWG+eiMWsKt4Ewg5oYNfJiT4uDaYpj7CCfHIQkllEWglE/OeGHGrJt9jhGJFnfOhx9dR/jw==" saltValue="ki0eeKREYWKoye1XF4yhVw==" spinCount="100000" sheet="1" selectLockedCells="1"/>
  <mergeCells count="13">
    <mergeCell ref="B25:C25"/>
    <mergeCell ref="D25:E25"/>
    <mergeCell ref="B33:C33"/>
    <mergeCell ref="B24:E24"/>
    <mergeCell ref="J2:L2"/>
    <mergeCell ref="B5:C5"/>
    <mergeCell ref="D12:E12"/>
    <mergeCell ref="D17:E17"/>
    <mergeCell ref="D6:E6"/>
    <mergeCell ref="B12:C12"/>
    <mergeCell ref="B17:C17"/>
    <mergeCell ref="D5:E5"/>
    <mergeCell ref="B6:C6"/>
  </mergeCells>
  <dataValidations xWindow="759" yWindow="337" count="18">
    <dataValidation type="whole" showErrorMessage="1" errorTitle="Volume Error" error="Has to be Numerical Value &gt;1,000,000 (1 Million) also if it is too large, it won't work" promptTitle="Volume" prompt="Has to be Numerical Value &gt;100" sqref="C8" xr:uid="{5B34C3D4-40D2-47AF-82CD-DD368537C869}">
      <formula1>1000000</formula1>
      <formula2>100000000000</formula2>
    </dataValidation>
    <dataValidation type="decimal" showErrorMessage="1" errorTitle="Part Weight Error" error="Has to be Numerical &gt;0" sqref="C10" xr:uid="{6FD918E8-5E86-42CF-B1E9-33FB718460E6}">
      <formula1>0.1</formula1>
      <formula2>10000</formula2>
    </dataValidation>
    <dataValidation type="whole" showErrorMessage="1" errorTitle="Cavities Error" error="Has to be numerical value greater than or equal to 1" sqref="C13" xr:uid="{4B4F77DD-4939-4592-ACC9-42BA1B654AC0}">
      <formula1>1</formula1>
      <formula2>500</formula2>
    </dataValidation>
    <dataValidation type="decimal" showErrorMessage="1" errorTitle="Runner Weight Error" error="Has to be numerical value &gt;1 grams" sqref="C14" xr:uid="{8703A712-E06B-4628-B662-E138F60B8479}">
      <formula1>1</formula1>
      <formula2>10000</formula2>
    </dataValidation>
    <dataValidation type="decimal" showErrorMessage="1" errorTitle="Runner Savings Error" error="Has to be Numerical Value (Min 5% to max 100%" sqref="C15" xr:uid="{1E73D61A-DAC3-4B14-8241-7E906A8C6BEE}">
      <formula1>0.05</formula1>
      <formula2>1</formula2>
    </dataValidation>
    <dataValidation type="decimal" showErrorMessage="1" errorTitle="Cost Error" error="Has to be Numerical Value &gt;$0.10 (10 cents) to max of $50/lb" sqref="C18" xr:uid="{46EAF974-F09A-4F39-8276-EA49331D50A8}">
      <formula1>0.1</formula1>
      <formula2>50</formula2>
    </dataValidation>
    <dataValidation type="decimal" showErrorMessage="1" errorTitle="Rate Error" error="Has to be numerical value between $1 to $1000 per hour" sqref="C19" xr:uid="{EF34CAA5-A0D6-4DC0-89DD-3E2F1A5FAC68}">
      <formula1>1</formula1>
      <formula2>1000</formula2>
    </dataValidation>
    <dataValidation type="decimal" showErrorMessage="1" errorTitle="Rate Error" error="Has to be Numerical between $1 to $1000 per hour" sqref="C20" xr:uid="{55F08045-BA12-4263-A274-9F539041CDFB}">
      <formula1>1</formula1>
      <formula2>1000</formula2>
    </dataValidation>
    <dataValidation type="whole" showErrorMessage="1" errorTitle="Cost Error" error="Has to be numerical value between $4000 and $2Million" sqref="C21" xr:uid="{BC40D82A-7CB9-4E9E-9939-9453B006B9C8}">
      <formula1>4000</formula1>
      <formula2>2000000</formula2>
    </dataValidation>
    <dataValidation type="decimal" showErrorMessage="1" errorTitle="Shift Error" error="Has to be numerical value between min of 4 hours  to 24 hours max (Max per day cannot be more than 24 hours)" promptTitle="Shift Hours" prompt="Has to be numerical value between 4 to 24" sqref="E7" xr:uid="{FE88A683-E848-4F08-83C4-FC11B3F73658}">
      <formula1>4</formula1>
      <formula2>24</formula2>
    </dataValidation>
    <dataValidation type="whole" showErrorMessage="1" errorTitle="Shift Error" error="Has to be numerical value between 1 shift  to 4 shift per day (max per day cannot be more than 24 hours)_x000a_" promptTitle="Shifts" prompt="Has to be numerical value between 1 to 4" sqref="E8" xr:uid="{B405A973-C61A-4B05-A2BC-94971BCE1253}">
      <formula1>1</formula1>
      <formula2>4</formula2>
    </dataValidation>
    <dataValidation type="whole" showErrorMessage="1" errorTitle="Working Days Error" error="Has to be numerical value between 1 to 7 (cannot be more than 7 working days in a week)" promptTitle="Working Days" prompt="Has to be numerical value between 1 to 7" sqref="E9" xr:uid="{03EB5186-ED7F-4B5E-BD72-A0439644C2B0}">
      <formula1>1</formula1>
      <formula2>7</formula2>
    </dataValidation>
    <dataValidation type="decimal" showErrorMessage="1" errorTitle="Working Weeks Error" error="Has to be numerical value between 1 to 52 (cannot be more than 52 weeks in a year)" promptTitle="Working Weeks" prompt="Has to be numerical value between 1 to 52" sqref="E10" xr:uid="{EB10088B-1B77-460C-951C-43E9506FE321}">
      <formula1>1</formula1>
      <formula2>52</formula2>
    </dataValidation>
    <dataValidation type="decimal" showErrorMessage="1" errorTitle="Cycle Time Error" error="Has to be numerical value between 1 to 360" sqref="E13" xr:uid="{5F8DD570-CF96-4BAC-A9EC-B506F67EDE0A}">
      <formula1>1</formula1>
      <formula2>360</formula2>
    </dataValidation>
    <dataValidation type="decimal" showErrorMessage="1" errorTitle="Scrap Rate Error" error="Has to be numerical value between 0% to 25%" sqref="E14 E19" xr:uid="{10747A9D-9F9B-476B-9254-E9C170968EF2}">
      <formula1>0</formula1>
      <formula2>0.25</formula2>
    </dataValidation>
    <dataValidation type="decimal" showErrorMessage="1" errorTitle="Labor Hours Error" error="Has to be numerical value between 0 to Shift Hours (Max)" sqref="E15" xr:uid="{0A363F97-50A2-4828-B2CB-D30218178161}">
      <formula1>0</formula1>
      <formula2>E7</formula2>
    </dataValidation>
    <dataValidation type="decimal" showErrorMessage="1" errorTitle="Cycle Time Error" error="Has to be numerical value between 1 to Max (cold runner cycle time).  Usually it wil be lower than cold runner cycle time" sqref="E18" xr:uid="{00A124B4-225B-470B-B9E1-7844836DE3EE}">
      <formula1>1</formula1>
      <formula2>E13</formula2>
    </dataValidation>
    <dataValidation type="decimal" showErrorMessage="1" errorTitle="Labor Hours Error" error="Has to be numerical value between 0 to shift hours (max)" sqref="E20" xr:uid="{F55E5169-F225-4395-8463-BA9BAAAE9681}">
      <formula1>0</formula1>
      <formula2>E7</formula2>
    </dataValidation>
  </dataValidation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hotrunner 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2019-07-28T14:59:38Z</dcterms:created>
  <dcterms:modified xsi:type="dcterms:W3CDTF">2019-08-30T02:12:39Z</dcterms:modified>
</cp:coreProperties>
</file>